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140" yWindow="-75" windowWidth="15630" windowHeight="12735"/>
  </bookViews>
  <sheets>
    <sheet name="ASG" sheetId="1" r:id="rId1"/>
  </sheets>
  <calcPr calcId="145621"/>
</workbook>
</file>

<file path=xl/calcChain.xml><?xml version="1.0" encoding="utf-8"?>
<calcChain xmlns="http://schemas.openxmlformats.org/spreadsheetml/2006/main">
  <c r="H29" i="1" l="1"/>
  <c r="H28" i="1"/>
  <c r="C27" i="1"/>
  <c r="C33" i="1" l="1"/>
  <c r="C11" i="1"/>
  <c r="D60" i="1" l="1"/>
  <c r="D59" i="1"/>
  <c r="H23" i="1"/>
  <c r="F22" i="1"/>
  <c r="C22" i="1" s="1"/>
  <c r="D137" i="1"/>
  <c r="D131" i="1"/>
  <c r="D48" i="1"/>
  <c r="D50" i="1" s="1"/>
  <c r="D81" i="1" s="1"/>
  <c r="D98" i="1"/>
  <c r="D97" i="1"/>
  <c r="D96" i="1"/>
  <c r="D95" i="1"/>
  <c r="D94" i="1"/>
  <c r="D93" i="1"/>
  <c r="D82" i="1"/>
  <c r="D79" i="1"/>
  <c r="D80" i="1"/>
  <c r="D77" i="1"/>
  <c r="C13" i="1"/>
  <c r="C18" i="1" s="1"/>
  <c r="C59" i="1" s="1"/>
  <c r="C37" i="1"/>
  <c r="C150" i="1" s="1"/>
  <c r="C60" i="1" l="1"/>
  <c r="C96" i="1"/>
  <c r="D138" i="1"/>
  <c r="C148" i="1"/>
  <c r="C95" i="1"/>
  <c r="C80" i="1"/>
  <c r="C82" i="1" s="1"/>
  <c r="C93" i="1"/>
  <c r="C98" i="1"/>
  <c r="C77" i="1"/>
  <c r="C94" i="1"/>
  <c r="C69" i="1"/>
  <c r="C97" i="1"/>
  <c r="C48" i="1"/>
  <c r="C47" i="1"/>
  <c r="C46" i="1"/>
  <c r="C45" i="1"/>
  <c r="C42" i="1"/>
  <c r="C44" i="1"/>
  <c r="C49" i="1"/>
  <c r="C43" i="1"/>
  <c r="D100" i="1"/>
  <c r="C81" i="1" l="1"/>
  <c r="C61" i="1"/>
  <c r="C78" i="1"/>
  <c r="C50" i="1"/>
  <c r="C120" i="1" s="1"/>
  <c r="C70" i="1"/>
  <c r="C71" i="1" s="1"/>
  <c r="C122" i="1" s="1"/>
  <c r="C79" i="1"/>
  <c r="C99" i="1"/>
  <c r="C62" i="1" l="1"/>
  <c r="C63" i="1" s="1"/>
  <c r="C121" i="1" s="1"/>
  <c r="C83" i="1"/>
  <c r="C123" i="1" s="1"/>
  <c r="C100" i="1"/>
  <c r="C101" i="1" s="1"/>
  <c r="C124" i="1" s="1"/>
  <c r="C125" i="1" l="1"/>
  <c r="C151" i="1" s="1"/>
  <c r="F23" i="1"/>
  <c r="C23" i="1" s="1"/>
  <c r="C28" i="1" l="1"/>
  <c r="C149" i="1" l="1"/>
  <c r="C152" i="1" s="1"/>
  <c r="C129" i="1"/>
  <c r="C130" i="1" l="1"/>
  <c r="C131" i="1" s="1"/>
  <c r="C133" i="1" l="1"/>
  <c r="C132" i="1"/>
  <c r="C134" i="1"/>
  <c r="C135" i="1"/>
  <c r="C136" i="1"/>
  <c r="C137" i="1" l="1"/>
  <c r="C138" i="1" s="1"/>
  <c r="C153" i="1" l="1"/>
  <c r="C154" i="1" s="1"/>
</calcChain>
</file>

<file path=xl/sharedStrings.xml><?xml version="1.0" encoding="utf-8"?>
<sst xmlns="http://schemas.openxmlformats.org/spreadsheetml/2006/main" count="211" uniqueCount="130">
  <si>
    <t>Tipo de serviço</t>
  </si>
  <si>
    <t>Salário normativo da categoria profissional</t>
  </si>
  <si>
    <t>Categoria profissional</t>
  </si>
  <si>
    <t>Data base da categoria</t>
  </si>
  <si>
    <t>Sindicato</t>
  </si>
  <si>
    <t>I</t>
  </si>
  <si>
    <t>Composição da Remuneração</t>
  </si>
  <si>
    <t>Valor (R$)</t>
  </si>
  <si>
    <t>A</t>
  </si>
  <si>
    <t>B</t>
  </si>
  <si>
    <t>C</t>
  </si>
  <si>
    <t>D</t>
  </si>
  <si>
    <t>E</t>
  </si>
  <si>
    <t>F</t>
  </si>
  <si>
    <t>G</t>
  </si>
  <si>
    <t>H</t>
  </si>
  <si>
    <t>Salário Base</t>
  </si>
  <si>
    <t>Adicional de periculosidade</t>
  </si>
  <si>
    <t>Adicional de insalubridade</t>
  </si>
  <si>
    <t>Adicional noturno</t>
  </si>
  <si>
    <t>Hora noturna adicional</t>
  </si>
  <si>
    <t>Adicional de hora extra</t>
  </si>
  <si>
    <t>Intervalo intrajornada</t>
  </si>
  <si>
    <t>%</t>
  </si>
  <si>
    <t>TOTAL</t>
  </si>
  <si>
    <t>TOTAL (R$)</t>
  </si>
  <si>
    <t>II</t>
  </si>
  <si>
    <t>Benefícios Mensais e Diários</t>
  </si>
  <si>
    <t>Transporte</t>
  </si>
  <si>
    <t>Auxílio alimentação (vales, cesta básica etc.)</t>
  </si>
  <si>
    <t>Auxílio creche</t>
  </si>
  <si>
    <t>Assistência médica e familiar</t>
  </si>
  <si>
    <t>Seguro de vida, invalidez e funeral</t>
  </si>
  <si>
    <t xml:space="preserve">Dias </t>
  </si>
  <si>
    <t>Valor Unitário</t>
  </si>
  <si>
    <t>III</t>
  </si>
  <si>
    <t>Insumos diversos</t>
  </si>
  <si>
    <t>Materiais</t>
  </si>
  <si>
    <t>Equipamentos</t>
  </si>
  <si>
    <t>Uniformes¹</t>
  </si>
  <si>
    <t>EPI's¹</t>
  </si>
  <si>
    <t>Encargos previdenciários e FGTS</t>
  </si>
  <si>
    <t>IV</t>
  </si>
  <si>
    <t>INSS</t>
  </si>
  <si>
    <t>FGTS</t>
  </si>
  <si>
    <t>SESI OU SESC¹</t>
  </si>
  <si>
    <t>¹ Decreto Lei n° 9.853/1946 (Art. 3°) e Lei n° 8.036/1990 (Art. 30)</t>
  </si>
  <si>
    <t>SENAI OU SENAC²</t>
  </si>
  <si>
    <t xml:space="preserve">² Decreto Lei n° 2.318/1986 </t>
  </si>
  <si>
    <t>INCRA³</t>
  </si>
  <si>
    <t>³ Decreto Lei n° 1.146/1970 (Art. 2°)</t>
  </si>
  <si>
    <r>
      <t>Salário Educação</t>
    </r>
    <r>
      <rPr>
        <vertAlign val="superscript"/>
        <sz val="11"/>
        <color theme="1"/>
        <rFont val="Calibri"/>
        <family val="2"/>
        <scheme val="minor"/>
      </rPr>
      <t>4</t>
    </r>
  </si>
  <si>
    <r>
      <rPr>
        <vertAlign val="superscript"/>
        <sz val="11"/>
        <color theme="1"/>
        <rFont val="Calibri"/>
        <family val="2"/>
        <scheme val="minor"/>
      </rPr>
      <t>4</t>
    </r>
    <r>
      <rPr>
        <sz val="11"/>
        <color theme="1"/>
        <rFont val="Calibri"/>
        <family val="2"/>
        <scheme val="minor"/>
      </rPr>
      <t xml:space="preserve"> Decreto Lei n° 87.043/1982 (Art. 3° inc. I), Lei n° 9.424/1996 (Art. 15), Decreto 3.142/1999 (Art. 2°) e Consituição Federal de 1988 (Art. 212 § 5°)</t>
    </r>
  </si>
  <si>
    <r>
      <t>SEBRAE</t>
    </r>
    <r>
      <rPr>
        <vertAlign val="superscript"/>
        <sz val="11"/>
        <color theme="1"/>
        <rFont val="Calibri"/>
        <family val="2"/>
        <scheme val="minor"/>
      </rPr>
      <t>6</t>
    </r>
  </si>
  <si>
    <r>
      <rPr>
        <vertAlign val="superscript"/>
        <sz val="11"/>
        <color theme="1"/>
        <rFont val="Calibri"/>
        <family val="2"/>
        <scheme val="minor"/>
      </rPr>
      <t>6</t>
    </r>
    <r>
      <rPr>
        <sz val="11"/>
        <color theme="1"/>
        <rFont val="Calibri"/>
        <family val="2"/>
        <scheme val="minor"/>
      </rPr>
      <t xml:space="preserve"> Lei n° 8.029/1190 (Art. 8°)</t>
    </r>
  </si>
  <si>
    <r>
      <t>Seguro acidente do trabalho</t>
    </r>
    <r>
      <rPr>
        <vertAlign val="superscript"/>
        <sz val="11"/>
        <color theme="1"/>
        <rFont val="Calibri"/>
        <family val="2"/>
        <scheme val="minor"/>
      </rPr>
      <t>5</t>
    </r>
  </si>
  <si>
    <t>V</t>
  </si>
  <si>
    <t>13º Salário e Adicional de Férias</t>
  </si>
  <si>
    <t>Subtotal</t>
  </si>
  <si>
    <t>13º Salário</t>
  </si>
  <si>
    <t>Adicional de Férias¹</t>
  </si>
  <si>
    <t>¹ A Constituição Federal, em seu art. 7º, inciso XVII, prevê que as férias sejam pagas com adicional de, pelo menos, 1/3 (um terço) da remuneração do mês. Assim, a provisão para atender as despesas relativas ao abono de férias corresponde a: (1/3)*(5/56) x 100 = 2,98%.</t>
  </si>
  <si>
    <t>Afastamento Maternidade</t>
  </si>
  <si>
    <t>Incidência do ITEM IV sobre afastamento maternidade</t>
  </si>
  <si>
    <t>Afastamento Maternidade¹</t>
  </si>
  <si>
    <t xml:space="preserve">¹ A taxa de natalidade, de acordo com o IBGE, é de 1,44% dos empregados. Considerando que 10% das empregadas engravidam em cada ano de execução contratual e usufruam de 4 (quatro) meses de licença por ano. </t>
  </si>
  <si>
    <t>Provisão para Rescisão</t>
  </si>
  <si>
    <t>Aviso prévio indenizado¹</t>
  </si>
  <si>
    <t xml:space="preserve">¹ CLT (Art. 487, § 1°), de acordo com levantamento efetuado pelo MPOG, cerca de 5% do pessoal é demitido pelo empregador, antes do término do contrato de trabalho. </t>
  </si>
  <si>
    <t>² Considerando que 10% dos empregados pedem contas, essa penalidade recai sobre os 90% remanescentes.</t>
  </si>
  <si>
    <t>Multa do FGTS do aviso prévio indenizado²</t>
  </si>
  <si>
    <t>Incidência do FGTS sobre aviso prévio indenizado</t>
  </si>
  <si>
    <t>Aviso prévio trabalhado³</t>
  </si>
  <si>
    <t>Incidência do ITEM IV sobre 13º Salário e Adicional de Férias</t>
  </si>
  <si>
    <t>Incidência do ITEM IV s/aviso prévio trabalhado</t>
  </si>
  <si>
    <t>Multa FGTS do aviso prévio trabalhado</t>
  </si>
  <si>
    <t>³ CLT (art. 488) refere-se à indenização de sete dias corridos devida ao empregado no caso de o empregador rescindir o contrato sem justo motivo e conceder aviso prévio. Cerca de 2% do pessoal é demitido nessa situação.</t>
  </si>
  <si>
    <t>Férias¹</t>
  </si>
  <si>
    <t>¹ Pode-se determinar a provisão mensal considerando que na duração do contrato de 60 meses o empregado tem 5 meses de férias e labora em 56 meses.</t>
  </si>
  <si>
    <t>² Entendemos que deva ser adotado 5,96 dias, conforme consta do memorial de cálculo encaminhado pelo MP, devendo-se converter esses dias em mês e depois dividi-lo pelo número de meses no ano. (Acórdão 1753/2008 – Plenário TCU)</t>
  </si>
  <si>
    <t>Ausência por doença²</t>
  </si>
  <si>
    <t>³ Conforme a Constituição Federal (Art. 7°, inciso XIX), combinado com o art. 10, § 1º dos Atos das Disposições Constitucionais Transitórias – ADCT - , concede ao empregado o direito de ausentar-se do serviço por cinco dias quando do nascimento de filho. De acordo com o IBGE, nascem filhos de 1,5% dos trabalhadores no período de um ano.</t>
  </si>
  <si>
    <t>Licença paternidade³</t>
  </si>
  <si>
    <r>
      <rPr>
        <vertAlign val="superscript"/>
        <sz val="11"/>
        <color indexed="8"/>
        <rFont val="Calibri"/>
        <family val="2"/>
      </rPr>
      <t>4</t>
    </r>
    <r>
      <rPr>
        <sz val="11"/>
        <color indexed="8"/>
        <rFont val="Calibri"/>
        <family val="2"/>
      </rPr>
      <t xml:space="preserve"> Estimativa de 1 (uma) ausência por ano. </t>
    </r>
  </si>
  <si>
    <r>
      <t>Ausências legais</t>
    </r>
    <r>
      <rPr>
        <vertAlign val="superscript"/>
        <sz val="11"/>
        <color theme="1"/>
        <rFont val="Calibri"/>
        <family val="2"/>
        <scheme val="minor"/>
      </rPr>
      <t>4</t>
    </r>
  </si>
  <si>
    <r>
      <rPr>
        <vertAlign val="superscript"/>
        <sz val="11"/>
        <color theme="1"/>
        <rFont val="Calibri"/>
        <family val="2"/>
        <scheme val="minor"/>
      </rPr>
      <t>5</t>
    </r>
    <r>
      <rPr>
        <sz val="11"/>
        <color theme="1"/>
        <rFont val="Calibri"/>
        <family val="2"/>
        <scheme val="minor"/>
      </rPr>
      <t xml:space="preserve"> Decreto nº 89.312/1984 (Art. 27), obriga o empregador a assumir o ônus financeiro pelo prazo de 15 dias, no caso de acidente de trabalho previsto no art. 131 da CLT. De acordo com os números mais recentes apresentados pelo Ministério da Previdência de Assistência Social, baseados em informações prestadas pelos empregadores, por meio da GFIP, 0,78% (zero vírgula setenta e oito por cento) dos empregados se acidentam no ano.</t>
    </r>
  </si>
  <si>
    <r>
      <t>Ausência por acidente de trabalho</t>
    </r>
    <r>
      <rPr>
        <vertAlign val="superscript"/>
        <sz val="11"/>
        <color theme="1"/>
        <rFont val="Calibri"/>
        <family val="2"/>
        <scheme val="minor"/>
      </rPr>
      <t>5</t>
    </r>
  </si>
  <si>
    <r>
      <t>Outros (especificar)</t>
    </r>
    <r>
      <rPr>
        <vertAlign val="superscript"/>
        <sz val="11"/>
        <color theme="1"/>
        <rFont val="Calibri"/>
        <family val="2"/>
        <scheme val="minor"/>
      </rPr>
      <t>6</t>
    </r>
  </si>
  <si>
    <r>
      <rPr>
        <vertAlign val="superscript"/>
        <sz val="11"/>
        <color theme="1"/>
        <rFont val="Calibri"/>
        <family val="2"/>
        <scheme val="minor"/>
      </rPr>
      <t>6</t>
    </r>
    <r>
      <rPr>
        <sz val="11"/>
        <color theme="1"/>
        <rFont val="Calibri"/>
        <family val="2"/>
        <scheme val="minor"/>
      </rPr>
      <t xml:space="preserve"> Ausências previstas no CCT Sindical</t>
    </r>
  </si>
  <si>
    <t>Custo de Reposição do Profissional Ausente</t>
  </si>
  <si>
    <t>GRUPO B</t>
  </si>
  <si>
    <r>
      <rPr>
        <vertAlign val="superscript"/>
        <sz val="11"/>
        <color theme="1"/>
        <rFont val="Calibri"/>
        <family val="2"/>
        <scheme val="minor"/>
      </rPr>
      <t>5</t>
    </r>
    <r>
      <rPr>
        <sz val="11"/>
        <color theme="1"/>
        <rFont val="Calibri"/>
        <family val="2"/>
        <scheme val="minor"/>
      </rPr>
      <t xml:space="preserve"> Estimativa de 1 (uma) licença de 15 (quinze) dias por ano para 8% (oito por cento) dos empregados.</t>
    </r>
  </si>
  <si>
    <t>Custos Indiretos, Tributos e Lucro</t>
  </si>
  <si>
    <t>Lucro</t>
  </si>
  <si>
    <t>Custos Indiretos¹</t>
  </si>
  <si>
    <t>¹ São os gastos da contratada com sua estrutura administrativa, organizacional e gerenciamento de seus contratos</t>
  </si>
  <si>
    <t xml:space="preserve">GRUPO A </t>
  </si>
  <si>
    <t xml:space="preserve">GRUPO C </t>
  </si>
  <si>
    <t>GRUPO D</t>
  </si>
  <si>
    <t xml:space="preserve">GRUPO D - Encargos Sociais e Trabalhistas </t>
  </si>
  <si>
    <t>GRUPO E</t>
  </si>
  <si>
    <t>ISSQN ou ISS</t>
  </si>
  <si>
    <t>COFINS</t>
  </si>
  <si>
    <t>PIS</t>
  </si>
  <si>
    <t>² Ganho decorrente da exploração da atividade econômica, calculado mediante incidência percentual sobre a remuneração, benefícios mensais e diários, insumos diversos, encargos sociais e trabalhistas e custos indiretos. No cálculo dos valores limites dos serviços de vigilância e limpeza foi estabelecido o percentual de 6,79%, conforme jurisprudências do TCU.</t>
  </si>
  <si>
    <t>CSLL</t>
  </si>
  <si>
    <t>IRRF</t>
  </si>
  <si>
    <t xml:space="preserve">Subtotal Tributos </t>
  </si>
  <si>
    <t>CUSTO MENSAL DA MÃO-DE-OBRA PARA EXECUÇÃO CONTRATUAL</t>
  </si>
  <si>
    <t>GRUPO A - Composição da Remuneração</t>
  </si>
  <si>
    <t>GRUPO B - Benefícios Mensais e Diários</t>
  </si>
  <si>
    <t>GRUPO C - Insumos Diversos</t>
  </si>
  <si>
    <t>GRUPO D - Encargos Sociais e Trabalhistas</t>
  </si>
  <si>
    <t xml:space="preserve">Desconto </t>
  </si>
  <si>
    <t>Subtotal (A+B+C+D)</t>
  </si>
  <si>
    <t>GRUPO E - Custos Indiretos, Tributos e Lucro</t>
  </si>
  <si>
    <t>VALOR TOTAL POR POSTO</t>
  </si>
  <si>
    <t>N° Registro M.T.E.</t>
  </si>
  <si>
    <t>¹ O custo total calculado é de R$ 248,00. Considerando a substituição conforme Termo de Referência, obtivemos o valor deluído mensalmente.</t>
  </si>
  <si>
    <t>RS001783/2019</t>
  </si>
  <si>
    <t>SINCAP-RS</t>
  </si>
  <si>
    <t>Apoio Operacional</t>
  </si>
  <si>
    <t>Motorista</t>
  </si>
  <si>
    <t>Premio Assiduidade</t>
  </si>
  <si>
    <t>Amil</t>
  </si>
  <si>
    <t>CCG</t>
  </si>
  <si>
    <t>Doctor Clin</t>
  </si>
  <si>
    <t>Bradesco</t>
  </si>
  <si>
    <t>MÉDIA</t>
  </si>
  <si>
    <t>Os itens C e E, foram calculados sobre o profissional de 40 anos.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</si>
</sst>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R$&quot;\ * #,##0.00_-;\-&quot;R$&quot;\ * #,##0.00_-;_-&quot;R$&quot;\ * &quot;-&quot;??_-;_-@_-"/>
  </numFmts>
  <fonts count="1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vertAlign val="superscript"/>
      <sz val="11"/>
      <color theme="1"/>
      <name val="Calibri"/>
      <family val="2"/>
      <scheme val="minor"/>
    </font>
    <font>
      <sz val="14"/>
      <color rgb="FF555555"/>
      <name val="Times New Roman"/>
      <family val="1"/>
    </font>
    <font>
      <sz val="9"/>
      <color theme="1"/>
      <name val="Calibri"/>
      <family val="2"/>
      <scheme val="minor"/>
    </font>
    <font>
      <vertAlign val="superscript"/>
      <sz val="11"/>
      <color indexed="8"/>
      <name val="Calibri"/>
      <family val="2"/>
    </font>
    <font>
      <sz val="11"/>
      <color indexed="8"/>
      <name val="Calibri"/>
      <family val="2"/>
    </font>
    <font>
      <sz val="11"/>
      <color theme="1"/>
      <name val="Calibri"/>
      <family val="2"/>
    </font>
  </fonts>
  <fills count="9">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4">
    <xf numFmtId="0" fontId="0" fillId="0" borderId="0" xfId="0"/>
    <xf numFmtId="0" fontId="0" fillId="0" borderId="2" xfId="0" applyBorder="1"/>
    <xf numFmtId="44" fontId="0" fillId="0" borderId="2" xfId="1" applyFont="1" applyBorder="1"/>
    <xf numFmtId="0" fontId="0" fillId="0" borderId="2" xfId="0" applyFill="1" applyBorder="1"/>
    <xf numFmtId="14" fontId="0" fillId="0" borderId="2" xfId="0" applyNumberFormat="1" applyBorder="1" applyAlignment="1">
      <alignment horizontal="left"/>
    </xf>
    <xf numFmtId="0" fontId="0" fillId="0" borderId="2" xfId="0" applyBorder="1" applyAlignment="1">
      <alignment horizontal="center"/>
    </xf>
    <xf numFmtId="0" fontId="3" fillId="0" borderId="2" xfId="0" applyFont="1" applyBorder="1" applyAlignment="1">
      <alignment horizontal="center"/>
    </xf>
    <xf numFmtId="44" fontId="0" fillId="0" borderId="0" xfId="0" applyNumberFormat="1"/>
    <xf numFmtId="44" fontId="0" fillId="0" borderId="2" xfId="0" applyNumberFormat="1" applyBorder="1"/>
    <xf numFmtId="0" fontId="3" fillId="2" borderId="2" xfId="0" applyFont="1" applyFill="1" applyBorder="1" applyAlignment="1">
      <alignment horizontal="center"/>
    </xf>
    <xf numFmtId="0" fontId="3" fillId="3" borderId="2" xfId="0" applyFont="1" applyFill="1" applyBorder="1" applyAlignment="1">
      <alignment horizontal="center"/>
    </xf>
    <xf numFmtId="44" fontId="3" fillId="2" borderId="2" xfId="0" applyNumberFormat="1" applyFont="1" applyFill="1" applyBorder="1"/>
    <xf numFmtId="0" fontId="3" fillId="0" borderId="0" xfId="0" applyFont="1"/>
    <xf numFmtId="44" fontId="3" fillId="3" borderId="2" xfId="0" applyNumberFormat="1" applyFont="1" applyFill="1" applyBorder="1"/>
    <xf numFmtId="0" fontId="3" fillId="4" borderId="2" xfId="0" applyFont="1" applyFill="1" applyBorder="1" applyAlignment="1">
      <alignment horizontal="center"/>
    </xf>
    <xf numFmtId="9" fontId="0" fillId="0" borderId="2" xfId="0" applyNumberFormat="1" applyBorder="1"/>
    <xf numFmtId="10" fontId="0" fillId="0" borderId="2" xfId="0" applyNumberFormat="1" applyBorder="1" applyAlignment="1">
      <alignment horizontal="center"/>
    </xf>
    <xf numFmtId="0" fontId="0" fillId="0" borderId="0" xfId="0" applyAlignment="1">
      <alignment wrapText="1"/>
    </xf>
    <xf numFmtId="0" fontId="0" fillId="0" borderId="2" xfId="0" applyBorder="1" applyAlignment="1">
      <alignment wrapText="1"/>
    </xf>
    <xf numFmtId="0" fontId="3" fillId="5" borderId="2" xfId="0" applyFont="1" applyFill="1" applyBorder="1" applyAlignment="1">
      <alignment horizontal="center"/>
    </xf>
    <xf numFmtId="44" fontId="3" fillId="5" borderId="2" xfId="0" applyNumberFormat="1" applyFont="1" applyFill="1" applyBorder="1"/>
    <xf numFmtId="44" fontId="3" fillId="0" borderId="2" xfId="0" applyNumberFormat="1" applyFont="1" applyBorder="1"/>
    <xf numFmtId="0" fontId="0" fillId="0" borderId="2" xfId="0" applyBorder="1" applyAlignment="1">
      <alignment horizontal="center" vertical="center"/>
    </xf>
    <xf numFmtId="0" fontId="3" fillId="6" borderId="2" xfId="0" applyFont="1" applyFill="1" applyBorder="1" applyAlignment="1">
      <alignment horizontal="center"/>
    </xf>
    <xf numFmtId="0" fontId="5" fillId="0" borderId="0" xfId="0" applyFont="1"/>
    <xf numFmtId="10" fontId="0" fillId="0" borderId="2" xfId="2" applyNumberFormat="1" applyFont="1" applyBorder="1" applyAlignment="1">
      <alignment horizontal="center"/>
    </xf>
    <xf numFmtId="0" fontId="0" fillId="0" borderId="0" xfId="0" applyFill="1" applyBorder="1" applyAlignment="1">
      <alignment wrapText="1"/>
    </xf>
    <xf numFmtId="0" fontId="6" fillId="0" borderId="0" xfId="0" applyFont="1" applyFill="1" applyBorder="1" applyAlignment="1"/>
    <xf numFmtId="0" fontId="0" fillId="0" borderId="0" xfId="0" applyFont="1" applyAlignment="1">
      <alignment wrapText="1"/>
    </xf>
    <xf numFmtId="0" fontId="0" fillId="0" borderId="0" xfId="0" applyFill="1" applyBorder="1" applyAlignment="1">
      <alignment horizontal="left"/>
    </xf>
    <xf numFmtId="44" fontId="3" fillId="5" borderId="6" xfId="0" applyNumberFormat="1" applyFont="1" applyFill="1" applyBorder="1"/>
    <xf numFmtId="44" fontId="3" fillId="5" borderId="3" xfId="0" applyNumberFormat="1" applyFont="1" applyFill="1" applyBorder="1"/>
    <xf numFmtId="10" fontId="3" fillId="5" borderId="2" xfId="0" applyNumberFormat="1" applyFont="1" applyFill="1" applyBorder="1" applyAlignment="1">
      <alignment horizontal="center"/>
    </xf>
    <xf numFmtId="44" fontId="3" fillId="6" borderId="6" xfId="0" applyNumberFormat="1" applyFont="1" applyFill="1" applyBorder="1"/>
    <xf numFmtId="0" fontId="9" fillId="8" borderId="2" xfId="0" applyFont="1" applyFill="1" applyBorder="1" applyAlignment="1">
      <alignment wrapText="1"/>
    </xf>
    <xf numFmtId="44" fontId="3" fillId="0" borderId="2" xfId="1" applyFont="1" applyBorder="1"/>
    <xf numFmtId="10" fontId="2" fillId="0" borderId="2" xfId="2" applyNumberFormat="1" applyFont="1" applyBorder="1" applyAlignment="1">
      <alignment horizontal="center"/>
    </xf>
    <xf numFmtId="10" fontId="2" fillId="0" borderId="2" xfId="0" applyNumberFormat="1" applyFont="1" applyBorder="1" applyAlignment="1">
      <alignment horizontal="center"/>
    </xf>
    <xf numFmtId="44" fontId="3" fillId="0" borderId="0" xfId="1" applyFont="1" applyFill="1" applyBorder="1" applyAlignment="1">
      <alignment horizontal="center"/>
    </xf>
    <xf numFmtId="44" fontId="3" fillId="7" borderId="2" xfId="1" applyFont="1" applyFill="1" applyBorder="1" applyAlignment="1">
      <alignment horizontal="center"/>
    </xf>
    <xf numFmtId="44" fontId="9" fillId="8" borderId="2" xfId="0" applyNumberFormat="1" applyFont="1" applyFill="1" applyBorder="1" applyAlignment="1">
      <alignment wrapText="1"/>
    </xf>
    <xf numFmtId="10" fontId="3" fillId="0" borderId="2" xfId="0" applyNumberFormat="1" applyFont="1" applyBorder="1" applyAlignment="1">
      <alignment horizontal="center"/>
    </xf>
    <xf numFmtId="10" fontId="3" fillId="6" borderId="2" xfId="2" applyNumberFormat="1" applyFont="1" applyFill="1" applyBorder="1" applyAlignment="1">
      <alignment horizontal="center"/>
    </xf>
    <xf numFmtId="44" fontId="0" fillId="0" borderId="2" xfId="1" applyFont="1" applyFill="1" applyBorder="1" applyAlignment="1">
      <alignment horizontal="left"/>
    </xf>
    <xf numFmtId="44" fontId="3" fillId="0" borderId="2" xfId="1" applyFont="1" applyFill="1" applyBorder="1" applyAlignment="1">
      <alignment horizontal="center"/>
    </xf>
    <xf numFmtId="44" fontId="3" fillId="7" borderId="2" xfId="0" applyNumberFormat="1" applyFont="1" applyFill="1" applyBorder="1" applyAlignment="1">
      <alignment horizontal="center"/>
    </xf>
    <xf numFmtId="44" fontId="3" fillId="4" borderId="2" xfId="1" applyFont="1" applyFill="1" applyBorder="1"/>
    <xf numFmtId="44" fontId="3" fillId="7" borderId="12" xfId="1" applyFont="1" applyFill="1" applyBorder="1" applyAlignment="1">
      <alignment horizontal="center"/>
    </xf>
    <xf numFmtId="44" fontId="3" fillId="7" borderId="13" xfId="1" applyFont="1" applyFill="1" applyBorder="1" applyAlignment="1">
      <alignment horizontal="center"/>
    </xf>
    <xf numFmtId="0" fontId="3" fillId="3" borderId="2" xfId="0" applyFont="1" applyFill="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0" fillId="0" borderId="8" xfId="0" applyFill="1" applyBorder="1" applyAlignment="1">
      <alignment horizontal="left" wrapText="1"/>
    </xf>
    <xf numFmtId="0" fontId="0" fillId="0" borderId="0" xfId="0" applyFill="1" applyBorder="1" applyAlignment="1">
      <alignment horizontal="left" wrapText="1"/>
    </xf>
    <xf numFmtId="0" fontId="0" fillId="0" borderId="9" xfId="0" applyFill="1" applyBorder="1" applyAlignment="1">
      <alignment horizontal="left" wrapText="1"/>
    </xf>
    <xf numFmtId="0" fontId="0" fillId="0" borderId="10" xfId="0" applyFill="1" applyBorder="1" applyAlignment="1">
      <alignment horizontal="left" wrapText="1"/>
    </xf>
    <xf numFmtId="0" fontId="0" fillId="0" borderId="1" xfId="0" applyFill="1" applyBorder="1" applyAlignment="1">
      <alignment horizontal="left" wrapText="1"/>
    </xf>
    <xf numFmtId="0" fontId="0" fillId="0" borderId="11" xfId="0" applyFill="1" applyBorder="1" applyAlignment="1">
      <alignment horizontal="left" wrapText="1"/>
    </xf>
    <xf numFmtId="0" fontId="3" fillId="6" borderId="6" xfId="0" applyFont="1" applyFill="1" applyBorder="1" applyAlignment="1">
      <alignment horizontal="center"/>
    </xf>
    <xf numFmtId="0" fontId="3" fillId="6" borderId="2" xfId="0" applyFont="1" applyFill="1" applyBorder="1" applyAlignment="1">
      <alignment horizontal="center"/>
    </xf>
    <xf numFmtId="0" fontId="0" fillId="0" borderId="7"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8" xfId="0" applyBorder="1" applyAlignment="1">
      <alignment horizontal="left" wrapText="1"/>
    </xf>
    <xf numFmtId="0" fontId="0" fillId="0" borderId="0" xfId="0" applyBorder="1" applyAlignment="1">
      <alignment horizontal="left" wrapText="1"/>
    </xf>
    <xf numFmtId="0" fontId="0" fillId="0" borderId="9" xfId="0" applyBorder="1" applyAlignment="1">
      <alignment horizontal="left" wrapText="1"/>
    </xf>
    <xf numFmtId="0" fontId="3" fillId="5" borderId="2" xfId="0" applyFont="1" applyFill="1" applyBorder="1" applyAlignment="1">
      <alignment horizontal="center"/>
    </xf>
    <xf numFmtId="0" fontId="0" fillId="0" borderId="10" xfId="0" applyBorder="1" applyAlignment="1">
      <alignment horizontal="left" wrapText="1"/>
    </xf>
    <xf numFmtId="0" fontId="0" fillId="0" borderId="1" xfId="0" applyBorder="1" applyAlignment="1">
      <alignment horizontal="left" wrapText="1"/>
    </xf>
    <xf numFmtId="0" fontId="0" fillId="0" borderId="11" xfId="0" applyBorder="1" applyAlignment="1">
      <alignment horizontal="left" wrapText="1"/>
    </xf>
    <xf numFmtId="0" fontId="0" fillId="0" borderId="2" xfId="0" applyBorder="1" applyAlignment="1">
      <alignment horizontal="left" wrapText="1"/>
    </xf>
    <xf numFmtId="0" fontId="0" fillId="0" borderId="8" xfId="0" applyFill="1" applyBorder="1" applyAlignment="1">
      <alignment horizontal="left"/>
    </xf>
    <xf numFmtId="0" fontId="0" fillId="0" borderId="0" xfId="0" applyFill="1" applyBorder="1" applyAlignment="1">
      <alignment horizontal="left"/>
    </xf>
    <xf numFmtId="0" fontId="0" fillId="0" borderId="9" xfId="0" applyFill="1" applyBorder="1" applyAlignment="1">
      <alignment horizontal="left"/>
    </xf>
    <xf numFmtId="0" fontId="0" fillId="0" borderId="8" xfId="0" applyFill="1" applyBorder="1" applyAlignment="1">
      <alignment horizontal="left" vertical="center" wrapText="1"/>
    </xf>
    <xf numFmtId="0" fontId="0" fillId="0" borderId="0" xfId="0" applyFill="1" applyBorder="1" applyAlignment="1">
      <alignment horizontal="left" vertical="center" wrapText="1"/>
    </xf>
    <xf numFmtId="0" fontId="0" fillId="0" borderId="9" xfId="0" applyFill="1" applyBorder="1" applyAlignment="1">
      <alignment horizontal="left" vertical="center" wrapText="1"/>
    </xf>
    <xf numFmtId="0" fontId="3" fillId="2" borderId="2" xfId="0" applyFont="1" applyFill="1" applyBorder="1" applyAlignment="1">
      <alignment horizontal="center"/>
    </xf>
    <xf numFmtId="44" fontId="3" fillId="4" borderId="2" xfId="1" applyFont="1" applyFill="1" applyBorder="1" applyAlignment="1">
      <alignment horizontal="center"/>
    </xf>
    <xf numFmtId="0" fontId="3" fillId="0" borderId="2" xfId="0" applyFont="1" applyBorder="1" applyAlignment="1">
      <alignment horizontal="center"/>
    </xf>
    <xf numFmtId="0" fontId="0" fillId="0" borderId="10" xfId="0" applyBorder="1" applyAlignment="1">
      <alignment horizontal="left"/>
    </xf>
    <xf numFmtId="0" fontId="0" fillId="0" borderId="1" xfId="0" applyBorder="1" applyAlignment="1">
      <alignment horizontal="left"/>
    </xf>
    <xf numFmtId="0" fontId="0" fillId="0" borderId="11" xfId="0" applyBorder="1" applyAlignment="1">
      <alignment horizontal="left"/>
    </xf>
    <xf numFmtId="0" fontId="0" fillId="0" borderId="8" xfId="0" applyFont="1" applyBorder="1" applyAlignment="1">
      <alignment horizontal="left" wrapText="1"/>
    </xf>
    <xf numFmtId="0" fontId="0" fillId="0" borderId="0" xfId="0" applyFont="1" applyBorder="1" applyAlignment="1">
      <alignment horizontal="left" wrapText="1"/>
    </xf>
    <xf numFmtId="0" fontId="0" fillId="0" borderId="9" xfId="0" applyFont="1" applyBorder="1" applyAlignment="1">
      <alignment horizontal="left" wrapText="1"/>
    </xf>
    <xf numFmtId="0" fontId="0" fillId="0" borderId="7" xfId="0" applyFill="1" applyBorder="1" applyAlignment="1">
      <alignment horizontal="left" wrapText="1"/>
    </xf>
    <xf numFmtId="0" fontId="0" fillId="0" borderId="4" xfId="0" applyFill="1" applyBorder="1" applyAlignment="1">
      <alignment horizontal="left" wrapText="1"/>
    </xf>
    <xf numFmtId="0" fontId="0" fillId="0" borderId="5" xfId="0" applyFill="1" applyBorder="1" applyAlignment="1">
      <alignment horizontal="left" wrapText="1"/>
    </xf>
    <xf numFmtId="0" fontId="0" fillId="0" borderId="10" xfId="0" applyFill="1" applyBorder="1" applyAlignment="1">
      <alignment horizontal="left"/>
    </xf>
    <xf numFmtId="0" fontId="0" fillId="0" borderId="1" xfId="0" applyFill="1" applyBorder="1" applyAlignment="1">
      <alignment horizontal="left"/>
    </xf>
    <xf numFmtId="0" fontId="0" fillId="0" borderId="11" xfId="0" applyFill="1" applyBorder="1" applyAlignment="1">
      <alignment horizontal="left"/>
    </xf>
    <xf numFmtId="0" fontId="0" fillId="0" borderId="8" xfId="0" applyBorder="1" applyAlignment="1">
      <alignment horizontal="left"/>
    </xf>
    <xf numFmtId="0" fontId="0" fillId="0" borderId="0" xfId="0" applyBorder="1" applyAlignment="1">
      <alignment horizontal="left"/>
    </xf>
    <xf numFmtId="0" fontId="0" fillId="0" borderId="9" xfId="0" applyBorder="1" applyAlignment="1">
      <alignment horizontal="left"/>
    </xf>
    <xf numFmtId="0" fontId="3" fillId="4" borderId="2" xfId="0" applyFont="1" applyFill="1" applyBorder="1" applyAlignment="1">
      <alignment horizontal="center"/>
    </xf>
    <xf numFmtId="0" fontId="0" fillId="0" borderId="2" xfId="0" applyFill="1" applyBorder="1" applyAlignment="1">
      <alignment horizontal="left" vertical="center" wrapText="1"/>
    </xf>
    <xf numFmtId="0" fontId="3" fillId="5" borderId="3" xfId="0" applyFont="1" applyFill="1" applyBorder="1" applyAlignment="1">
      <alignment horizontal="center"/>
    </xf>
    <xf numFmtId="0" fontId="0" fillId="0" borderId="7" xfId="0" applyFill="1" applyBorder="1" applyAlignment="1">
      <alignment horizontal="left"/>
    </xf>
    <xf numFmtId="0" fontId="0" fillId="0" borderId="4" xfId="0" applyFill="1" applyBorder="1" applyAlignment="1">
      <alignment horizontal="left"/>
    </xf>
    <xf numFmtId="0" fontId="0" fillId="0" borderId="5" xfId="0" applyFill="1" applyBorder="1" applyAlignment="1">
      <alignment horizontal="left"/>
    </xf>
    <xf numFmtId="0" fontId="3" fillId="0" borderId="2" xfId="0" applyFont="1" applyBorder="1"/>
    <xf numFmtId="9" fontId="0" fillId="0" borderId="0" xfId="0" applyNumberFormat="1"/>
    <xf numFmtId="0" fontId="0" fillId="0" borderId="2" xfId="0" applyFont="1" applyFill="1" applyBorder="1" applyAlignment="1">
      <alignment horizontal="left"/>
    </xf>
  </cellXfs>
  <cellStyles count="3">
    <cellStyle name="Moeda" xfId="1" builtinId="4"/>
    <cellStyle name="Normal" xfId="0" builtinId="0"/>
    <cellStyle name="Porcentagem"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54"/>
  <sheetViews>
    <sheetView tabSelected="1" topLeftCell="A100" zoomScale="90" zoomScaleNormal="90" workbookViewId="0">
      <selection activeCell="F139" sqref="F139"/>
    </sheetView>
  </sheetViews>
  <sheetFormatPr defaultRowHeight="15" x14ac:dyDescent="0.25"/>
  <cols>
    <col min="2" max="2" width="54.140625" customWidth="1"/>
    <col min="3" max="3" width="27.7109375" customWidth="1"/>
    <col min="5" max="5" width="13.5703125" bestFit="1" customWidth="1"/>
    <col min="6" max="6" width="13.85546875" bestFit="1" customWidth="1"/>
    <col min="7" max="7" width="11.140625" bestFit="1" customWidth="1"/>
    <col min="8" max="9" width="11.140625" hidden="1" customWidth="1"/>
    <col min="10" max="10" width="12.7109375" hidden="1" customWidth="1"/>
  </cols>
  <sheetData>
    <row r="2" spans="1:4" x14ac:dyDescent="0.25">
      <c r="B2" s="1" t="s">
        <v>0</v>
      </c>
      <c r="C2" s="5" t="s">
        <v>122</v>
      </c>
    </row>
    <row r="3" spans="1:4" x14ac:dyDescent="0.25">
      <c r="B3" s="1" t="s">
        <v>1</v>
      </c>
      <c r="C3" s="2">
        <v>1577.93</v>
      </c>
    </row>
    <row r="4" spans="1:4" x14ac:dyDescent="0.25">
      <c r="B4" s="1" t="s">
        <v>2</v>
      </c>
      <c r="C4" s="5" t="s">
        <v>121</v>
      </c>
    </row>
    <row r="5" spans="1:4" x14ac:dyDescent="0.25">
      <c r="B5" s="3" t="s">
        <v>4</v>
      </c>
      <c r="C5" s="5" t="s">
        <v>120</v>
      </c>
    </row>
    <row r="6" spans="1:4" x14ac:dyDescent="0.25">
      <c r="B6" s="3" t="s">
        <v>117</v>
      </c>
      <c r="C6" s="1" t="s">
        <v>119</v>
      </c>
    </row>
    <row r="7" spans="1:4" x14ac:dyDescent="0.25">
      <c r="B7" s="1" t="s">
        <v>3</v>
      </c>
      <c r="C7" s="4">
        <v>43586</v>
      </c>
    </row>
    <row r="9" spans="1:4" x14ac:dyDescent="0.25">
      <c r="A9" s="77" t="s">
        <v>96</v>
      </c>
      <c r="B9" s="77"/>
      <c r="C9" s="77"/>
      <c r="D9" s="77"/>
    </row>
    <row r="10" spans="1:4" x14ac:dyDescent="0.25">
      <c r="A10" s="9" t="s">
        <v>5</v>
      </c>
      <c r="B10" s="9" t="s">
        <v>6</v>
      </c>
      <c r="C10" s="9" t="s">
        <v>7</v>
      </c>
      <c r="D10" s="9" t="s">
        <v>23</v>
      </c>
    </row>
    <row r="11" spans="1:4" x14ac:dyDescent="0.25">
      <c r="A11" s="5" t="s">
        <v>8</v>
      </c>
      <c r="B11" s="1" t="s">
        <v>16</v>
      </c>
      <c r="C11" s="2">
        <f>$C$3</f>
        <v>1577.93</v>
      </c>
      <c r="D11" s="1"/>
    </row>
    <row r="12" spans="1:4" x14ac:dyDescent="0.25">
      <c r="A12" s="5" t="s">
        <v>9</v>
      </c>
      <c r="B12" s="1" t="s">
        <v>17</v>
      </c>
      <c r="C12" s="2">
        <v>0</v>
      </c>
      <c r="D12" s="1"/>
    </row>
    <row r="13" spans="1:4" x14ac:dyDescent="0.25">
      <c r="A13" s="5" t="s">
        <v>10</v>
      </c>
      <c r="B13" s="1" t="s">
        <v>18</v>
      </c>
      <c r="C13" s="2">
        <f>$C$11*$D$13</f>
        <v>0</v>
      </c>
      <c r="D13" s="15">
        <v>0</v>
      </c>
    </row>
    <row r="14" spans="1:4" x14ac:dyDescent="0.25">
      <c r="A14" s="5" t="s">
        <v>11</v>
      </c>
      <c r="B14" s="1" t="s">
        <v>19</v>
      </c>
      <c r="C14" s="2">
        <v>0</v>
      </c>
      <c r="D14" s="1"/>
    </row>
    <row r="15" spans="1:4" x14ac:dyDescent="0.25">
      <c r="A15" s="5" t="s">
        <v>12</v>
      </c>
      <c r="B15" s="1" t="s">
        <v>20</v>
      </c>
      <c r="C15" s="2">
        <v>0</v>
      </c>
      <c r="D15" s="1"/>
    </row>
    <row r="16" spans="1:4" x14ac:dyDescent="0.25">
      <c r="A16" s="5" t="s">
        <v>13</v>
      </c>
      <c r="B16" s="1" t="s">
        <v>21</v>
      </c>
      <c r="C16" s="2">
        <v>0</v>
      </c>
      <c r="D16" s="1"/>
    </row>
    <row r="17" spans="1:9" x14ac:dyDescent="0.25">
      <c r="A17" s="5" t="s">
        <v>14</v>
      </c>
      <c r="B17" s="1" t="s">
        <v>22</v>
      </c>
      <c r="C17" s="2">
        <v>0</v>
      </c>
      <c r="D17" s="1"/>
    </row>
    <row r="18" spans="1:9" x14ac:dyDescent="0.25">
      <c r="A18" s="77" t="s">
        <v>25</v>
      </c>
      <c r="B18" s="77"/>
      <c r="C18" s="11">
        <f>SUM(C11:C17)</f>
        <v>1577.93</v>
      </c>
    </row>
    <row r="19" spans="1:9" x14ac:dyDescent="0.25">
      <c r="A19" s="12"/>
      <c r="B19" s="12"/>
      <c r="C19" s="12"/>
    </row>
    <row r="20" spans="1:9" x14ac:dyDescent="0.25">
      <c r="A20" s="49" t="s">
        <v>90</v>
      </c>
      <c r="B20" s="49"/>
      <c r="C20" s="49"/>
      <c r="D20" s="49"/>
      <c r="E20" s="49"/>
      <c r="F20" s="49"/>
    </row>
    <row r="21" spans="1:9" x14ac:dyDescent="0.25">
      <c r="A21" s="10" t="s">
        <v>26</v>
      </c>
      <c r="B21" s="10" t="s">
        <v>27</v>
      </c>
      <c r="C21" s="10" t="s">
        <v>7</v>
      </c>
      <c r="D21" s="10" t="s">
        <v>33</v>
      </c>
      <c r="E21" s="10" t="s">
        <v>34</v>
      </c>
      <c r="F21" s="10" t="s">
        <v>113</v>
      </c>
    </row>
    <row r="22" spans="1:9" x14ac:dyDescent="0.25">
      <c r="A22" s="5" t="s">
        <v>8</v>
      </c>
      <c r="B22" s="1" t="s">
        <v>28</v>
      </c>
      <c r="C22" s="2">
        <f>(D22*E22*2)-F22</f>
        <v>112.12420000000002</v>
      </c>
      <c r="D22" s="5">
        <v>22</v>
      </c>
      <c r="E22" s="2">
        <v>4.7</v>
      </c>
      <c r="F22" s="8">
        <f>6%*C11</f>
        <v>94.675799999999995</v>
      </c>
    </row>
    <row r="23" spans="1:9" x14ac:dyDescent="0.25">
      <c r="A23" s="5" t="s">
        <v>9</v>
      </c>
      <c r="B23" s="1" t="s">
        <v>29</v>
      </c>
      <c r="C23" s="2">
        <f>(D23*E23)-F23</f>
        <v>356.4</v>
      </c>
      <c r="D23" s="5">
        <v>22</v>
      </c>
      <c r="E23" s="2">
        <v>20</v>
      </c>
      <c r="F23" s="8">
        <f>19%*H23</f>
        <v>83.6</v>
      </c>
      <c r="G23" s="7"/>
      <c r="H23" s="7">
        <f>(D23*E23)</f>
        <v>440</v>
      </c>
    </row>
    <row r="24" spans="1:9" x14ac:dyDescent="0.25">
      <c r="A24" s="5" t="s">
        <v>10</v>
      </c>
      <c r="B24" s="1" t="s">
        <v>31</v>
      </c>
      <c r="C24" s="2">
        <v>138.36000000000001</v>
      </c>
      <c r="D24" s="5"/>
      <c r="E24" s="1"/>
      <c r="F24" s="1"/>
      <c r="H24" s="2">
        <v>458.6</v>
      </c>
      <c r="I24" s="1" t="s">
        <v>127</v>
      </c>
    </row>
    <row r="25" spans="1:9" x14ac:dyDescent="0.25">
      <c r="A25" s="5" t="s">
        <v>11</v>
      </c>
      <c r="B25" s="1" t="s">
        <v>30</v>
      </c>
      <c r="C25" s="2">
        <v>0</v>
      </c>
      <c r="D25" s="5"/>
      <c r="E25" s="1"/>
      <c r="F25" s="1"/>
      <c r="H25" s="2">
        <v>429.68</v>
      </c>
      <c r="I25" s="1" t="s">
        <v>124</v>
      </c>
    </row>
    <row r="26" spans="1:9" x14ac:dyDescent="0.25">
      <c r="A26" s="5" t="s">
        <v>12</v>
      </c>
      <c r="B26" s="1" t="s">
        <v>32</v>
      </c>
      <c r="C26" s="2">
        <v>28.43</v>
      </c>
      <c r="D26" s="5"/>
      <c r="E26" s="1"/>
      <c r="F26" s="1"/>
      <c r="H26" s="2">
        <v>84.95</v>
      </c>
      <c r="I26" s="1" t="s">
        <v>126</v>
      </c>
    </row>
    <row r="27" spans="1:9" x14ac:dyDescent="0.25">
      <c r="A27" s="5" t="s">
        <v>13</v>
      </c>
      <c r="B27" s="1" t="s">
        <v>123</v>
      </c>
      <c r="C27" s="2">
        <f>(C11/30)</f>
        <v>52.597666666666669</v>
      </c>
      <c r="D27" s="5"/>
      <c r="E27" s="1"/>
      <c r="F27" s="1"/>
      <c r="H27" s="2">
        <v>133.63</v>
      </c>
      <c r="I27" s="8" t="s">
        <v>125</v>
      </c>
    </row>
    <row r="28" spans="1:9" x14ac:dyDescent="0.25">
      <c r="A28" s="49" t="s">
        <v>25</v>
      </c>
      <c r="B28" s="49"/>
      <c r="C28" s="13">
        <f>SUM(C22:C27)</f>
        <v>687.91186666666658</v>
      </c>
      <c r="H28" s="35">
        <f>AVERAGE(H24:H27)</f>
        <v>276.71500000000003</v>
      </c>
      <c r="I28" s="101" t="s">
        <v>128</v>
      </c>
    </row>
    <row r="29" spans="1:9" x14ac:dyDescent="0.25">
      <c r="A29" s="103" t="s">
        <v>129</v>
      </c>
      <c r="B29" s="103"/>
      <c r="C29" s="103"/>
      <c r="H29" s="7">
        <f>H28*I29</f>
        <v>138.35750000000002</v>
      </c>
      <c r="I29" s="102">
        <v>0.5</v>
      </c>
    </row>
    <row r="31" spans="1:9" x14ac:dyDescent="0.25">
      <c r="A31" s="78" t="s">
        <v>97</v>
      </c>
      <c r="B31" s="78"/>
      <c r="C31" s="78"/>
    </row>
    <row r="32" spans="1:9" x14ac:dyDescent="0.25">
      <c r="A32" s="14" t="s">
        <v>35</v>
      </c>
      <c r="B32" s="14" t="s">
        <v>36</v>
      </c>
      <c r="C32" s="14" t="s">
        <v>7</v>
      </c>
    </row>
    <row r="33" spans="1:4" x14ac:dyDescent="0.25">
      <c r="A33" s="5" t="s">
        <v>8</v>
      </c>
      <c r="B33" s="1" t="s">
        <v>39</v>
      </c>
      <c r="C33" s="2">
        <f>248/12</f>
        <v>20.666666666666668</v>
      </c>
    </row>
    <row r="34" spans="1:4" x14ac:dyDescent="0.25">
      <c r="A34" s="5" t="s">
        <v>9</v>
      </c>
      <c r="B34" s="1" t="s">
        <v>37</v>
      </c>
      <c r="C34" s="2">
        <v>0</v>
      </c>
    </row>
    <row r="35" spans="1:4" x14ac:dyDescent="0.25">
      <c r="A35" s="5" t="s">
        <v>10</v>
      </c>
      <c r="B35" s="1" t="s">
        <v>38</v>
      </c>
      <c r="C35" s="2">
        <v>0</v>
      </c>
    </row>
    <row r="36" spans="1:4" x14ac:dyDescent="0.25">
      <c r="A36" s="5" t="s">
        <v>11</v>
      </c>
      <c r="B36" s="1" t="s">
        <v>40</v>
      </c>
      <c r="C36" s="2">
        <v>0</v>
      </c>
    </row>
    <row r="37" spans="1:4" x14ac:dyDescent="0.25">
      <c r="A37" s="95" t="s">
        <v>25</v>
      </c>
      <c r="B37" s="95"/>
      <c r="C37" s="46">
        <f>SUM(C33:C36)</f>
        <v>20.666666666666668</v>
      </c>
    </row>
    <row r="38" spans="1:4" ht="30" customHeight="1" x14ac:dyDescent="0.25">
      <c r="A38" s="96" t="s">
        <v>118</v>
      </c>
      <c r="B38" s="96"/>
      <c r="C38" s="96"/>
    </row>
    <row r="40" spans="1:4" x14ac:dyDescent="0.25">
      <c r="A40" s="66" t="s">
        <v>98</v>
      </c>
      <c r="B40" s="66"/>
      <c r="C40" s="66"/>
      <c r="D40" s="66"/>
    </row>
    <row r="41" spans="1:4" x14ac:dyDescent="0.25">
      <c r="A41" s="19" t="s">
        <v>5</v>
      </c>
      <c r="B41" s="19" t="s">
        <v>41</v>
      </c>
      <c r="C41" s="19" t="s">
        <v>7</v>
      </c>
      <c r="D41" s="19" t="s">
        <v>23</v>
      </c>
    </row>
    <row r="42" spans="1:4" x14ac:dyDescent="0.25">
      <c r="A42" s="5" t="s">
        <v>8</v>
      </c>
      <c r="B42" s="1" t="s">
        <v>43</v>
      </c>
      <c r="C42" s="8">
        <f>$C$18*D42</f>
        <v>126.23440000000001</v>
      </c>
      <c r="D42" s="16">
        <v>0.08</v>
      </c>
    </row>
    <row r="43" spans="1:4" x14ac:dyDescent="0.25">
      <c r="A43" s="5" t="s">
        <v>9</v>
      </c>
      <c r="B43" s="1" t="s">
        <v>45</v>
      </c>
      <c r="C43" s="8">
        <f t="shared" ref="C43:C49" si="0">$C$18*D43</f>
        <v>23.668949999999999</v>
      </c>
      <c r="D43" s="16">
        <v>1.4999999999999999E-2</v>
      </c>
    </row>
    <row r="44" spans="1:4" x14ac:dyDescent="0.25">
      <c r="A44" s="5" t="s">
        <v>10</v>
      </c>
      <c r="B44" s="1" t="s">
        <v>47</v>
      </c>
      <c r="C44" s="8">
        <f t="shared" si="0"/>
        <v>15.779300000000001</v>
      </c>
      <c r="D44" s="16">
        <v>0.01</v>
      </c>
    </row>
    <row r="45" spans="1:4" x14ac:dyDescent="0.25">
      <c r="A45" s="5" t="s">
        <v>11</v>
      </c>
      <c r="B45" s="1" t="s">
        <v>49</v>
      </c>
      <c r="C45" s="8">
        <f t="shared" si="0"/>
        <v>3.1558600000000001</v>
      </c>
      <c r="D45" s="16">
        <v>2E-3</v>
      </c>
    </row>
    <row r="46" spans="1:4" ht="17.25" x14ac:dyDescent="0.25">
      <c r="A46" s="5" t="s">
        <v>12</v>
      </c>
      <c r="B46" s="1" t="s">
        <v>51</v>
      </c>
      <c r="C46" s="8">
        <f t="shared" si="0"/>
        <v>39.448250000000002</v>
      </c>
      <c r="D46" s="16">
        <v>2.5000000000000001E-2</v>
      </c>
    </row>
    <row r="47" spans="1:4" x14ac:dyDescent="0.25">
      <c r="A47" s="5" t="s">
        <v>13</v>
      </c>
      <c r="B47" s="1" t="s">
        <v>44</v>
      </c>
      <c r="C47" s="8">
        <f t="shared" si="0"/>
        <v>126.23440000000001</v>
      </c>
      <c r="D47" s="16">
        <v>0.08</v>
      </c>
    </row>
    <row r="48" spans="1:4" ht="17.25" x14ac:dyDescent="0.25">
      <c r="A48" s="5" t="s">
        <v>14</v>
      </c>
      <c r="B48" s="1" t="s">
        <v>55</v>
      </c>
      <c r="C48" s="8">
        <f t="shared" si="0"/>
        <v>5.2597666666666667</v>
      </c>
      <c r="D48" s="16">
        <f>((15/30)/12)*0.08</f>
        <v>3.3333333333333331E-3</v>
      </c>
    </row>
    <row r="49" spans="1:4" ht="17.25" x14ac:dyDescent="0.25">
      <c r="A49" s="5" t="s">
        <v>15</v>
      </c>
      <c r="B49" s="1" t="s">
        <v>53</v>
      </c>
      <c r="C49" s="8">
        <f t="shared" si="0"/>
        <v>9.4675799999999999</v>
      </c>
      <c r="D49" s="16">
        <v>6.0000000000000001E-3</v>
      </c>
    </row>
    <row r="50" spans="1:4" x14ac:dyDescent="0.25">
      <c r="A50" s="97" t="s">
        <v>25</v>
      </c>
      <c r="B50" s="97"/>
      <c r="C50" s="31">
        <f>SUM(C42:C49)</f>
        <v>349.24850666666669</v>
      </c>
      <c r="D50" s="32">
        <f>SUM(D42:D49)</f>
        <v>0.22133333333333335</v>
      </c>
    </row>
    <row r="51" spans="1:4" x14ac:dyDescent="0.25">
      <c r="A51" s="98" t="s">
        <v>46</v>
      </c>
      <c r="B51" s="99"/>
      <c r="C51" s="100"/>
    </row>
    <row r="52" spans="1:4" x14ac:dyDescent="0.25">
      <c r="A52" s="71" t="s">
        <v>48</v>
      </c>
      <c r="B52" s="72"/>
      <c r="C52" s="73"/>
    </row>
    <row r="53" spans="1:4" x14ac:dyDescent="0.25">
      <c r="A53" s="71" t="s">
        <v>50</v>
      </c>
      <c r="B53" s="72"/>
      <c r="C53" s="73"/>
    </row>
    <row r="54" spans="1:4" ht="30.75" customHeight="1" x14ac:dyDescent="0.25">
      <c r="A54" s="74" t="s">
        <v>52</v>
      </c>
      <c r="B54" s="75"/>
      <c r="C54" s="76"/>
    </row>
    <row r="55" spans="1:4" ht="17.25" x14ac:dyDescent="0.25">
      <c r="A55" s="92" t="s">
        <v>91</v>
      </c>
      <c r="B55" s="93"/>
      <c r="C55" s="94"/>
    </row>
    <row r="56" spans="1:4" ht="17.25" x14ac:dyDescent="0.25">
      <c r="A56" s="89" t="s">
        <v>54</v>
      </c>
      <c r="B56" s="90"/>
      <c r="C56" s="91"/>
    </row>
    <row r="57" spans="1:4" x14ac:dyDescent="0.25">
      <c r="A57" s="29"/>
      <c r="B57" s="29"/>
      <c r="C57" s="29"/>
    </row>
    <row r="58" spans="1:4" x14ac:dyDescent="0.25">
      <c r="A58" s="19" t="s">
        <v>26</v>
      </c>
      <c r="B58" s="19" t="s">
        <v>57</v>
      </c>
      <c r="C58" s="19" t="s">
        <v>7</v>
      </c>
      <c r="D58" s="19" t="s">
        <v>23</v>
      </c>
    </row>
    <row r="59" spans="1:4" x14ac:dyDescent="0.25">
      <c r="A59" s="5" t="s">
        <v>8</v>
      </c>
      <c r="B59" s="1" t="s">
        <v>59</v>
      </c>
      <c r="C59" s="8">
        <f>D59*$C$18</f>
        <v>140.88660714285714</v>
      </c>
      <c r="D59" s="16">
        <f>(5/56)</f>
        <v>8.9285714285714288E-2</v>
      </c>
    </row>
    <row r="60" spans="1:4" x14ac:dyDescent="0.25">
      <c r="A60" s="5" t="s">
        <v>9</v>
      </c>
      <c r="B60" s="1" t="s">
        <v>60</v>
      </c>
      <c r="C60" s="8">
        <f>D60*$C$18</f>
        <v>46.962202380952377</v>
      </c>
      <c r="D60" s="16">
        <f>(1/3)*(5/56)</f>
        <v>2.976190476190476E-2</v>
      </c>
    </row>
    <row r="61" spans="1:4" x14ac:dyDescent="0.25">
      <c r="A61" s="79" t="s">
        <v>58</v>
      </c>
      <c r="B61" s="79"/>
      <c r="C61" s="21">
        <f>SUM(C59:C60)</f>
        <v>187.84880952380951</v>
      </c>
    </row>
    <row r="62" spans="1:4" ht="15.75" customHeight="1" x14ac:dyDescent="0.25">
      <c r="A62" s="22" t="s">
        <v>10</v>
      </c>
      <c r="B62" s="18" t="s">
        <v>73</v>
      </c>
      <c r="C62" s="8">
        <f>$D$50*$C$61</f>
        <v>41.577203174603177</v>
      </c>
    </row>
    <row r="63" spans="1:4" x14ac:dyDescent="0.25">
      <c r="A63" s="66" t="s">
        <v>25</v>
      </c>
      <c r="B63" s="66"/>
      <c r="C63" s="20">
        <f>$C$61+$C$62</f>
        <v>229.42601269841268</v>
      </c>
    </row>
    <row r="64" spans="1:4" ht="15" customHeight="1" x14ac:dyDescent="0.25">
      <c r="A64" s="60" t="s">
        <v>61</v>
      </c>
      <c r="B64" s="61"/>
      <c r="C64" s="62"/>
    </row>
    <row r="65" spans="1:5" x14ac:dyDescent="0.25">
      <c r="A65" s="63"/>
      <c r="B65" s="64"/>
      <c r="C65" s="65"/>
    </row>
    <row r="66" spans="1:5" x14ac:dyDescent="0.25">
      <c r="A66" s="67"/>
      <c r="B66" s="68"/>
      <c r="C66" s="69"/>
    </row>
    <row r="68" spans="1:5" x14ac:dyDescent="0.25">
      <c r="A68" s="19" t="s">
        <v>35</v>
      </c>
      <c r="B68" s="19" t="s">
        <v>62</v>
      </c>
      <c r="C68" s="19" t="s">
        <v>7</v>
      </c>
    </row>
    <row r="69" spans="1:5" x14ac:dyDescent="0.25">
      <c r="A69" s="5" t="s">
        <v>8</v>
      </c>
      <c r="B69" s="1" t="s">
        <v>64</v>
      </c>
      <c r="C69" s="2">
        <f>(0.0144*0.1*(4/12))*$C$18</f>
        <v>0.75740640000000004</v>
      </c>
    </row>
    <row r="70" spans="1:5" x14ac:dyDescent="0.25">
      <c r="A70" s="5" t="s">
        <v>9</v>
      </c>
      <c r="B70" s="18" t="s">
        <v>63</v>
      </c>
      <c r="C70" s="2">
        <f>$C$69*$D$50</f>
        <v>0.16763928320000002</v>
      </c>
    </row>
    <row r="71" spans="1:5" x14ac:dyDescent="0.25">
      <c r="A71" s="66" t="s">
        <v>25</v>
      </c>
      <c r="B71" s="66"/>
      <c r="C71" s="20">
        <f>SUM(C69:C70)</f>
        <v>0.92504568320000002</v>
      </c>
      <c r="E71" s="7"/>
    </row>
    <row r="72" spans="1:5" ht="15" customHeight="1" x14ac:dyDescent="0.25">
      <c r="A72" s="70" t="s">
        <v>65</v>
      </c>
      <c r="B72" s="70"/>
      <c r="C72" s="70"/>
    </row>
    <row r="73" spans="1:5" x14ac:dyDescent="0.25">
      <c r="A73" s="70"/>
      <c r="B73" s="70"/>
      <c r="C73" s="70"/>
    </row>
    <row r="74" spans="1:5" x14ac:dyDescent="0.25">
      <c r="A74" s="70"/>
      <c r="B74" s="70"/>
      <c r="C74" s="70"/>
    </row>
    <row r="75" spans="1:5" ht="18.75" x14ac:dyDescent="0.3">
      <c r="A75" s="24"/>
    </row>
    <row r="76" spans="1:5" x14ac:dyDescent="0.25">
      <c r="A76" s="19" t="s">
        <v>42</v>
      </c>
      <c r="B76" s="19" t="s">
        <v>66</v>
      </c>
      <c r="C76" s="19" t="s">
        <v>7</v>
      </c>
      <c r="D76" s="19" t="s">
        <v>23</v>
      </c>
    </row>
    <row r="77" spans="1:5" x14ac:dyDescent="0.25">
      <c r="A77" s="5" t="s">
        <v>8</v>
      </c>
      <c r="B77" s="1" t="s">
        <v>67</v>
      </c>
      <c r="C77" s="7">
        <f>D77*$C$18</f>
        <v>6.5747083333333336</v>
      </c>
      <c r="D77" s="25">
        <f>((1/12)*0.05)</f>
        <v>4.1666666666666666E-3</v>
      </c>
    </row>
    <row r="78" spans="1:5" x14ac:dyDescent="0.25">
      <c r="A78" s="5" t="s">
        <v>9</v>
      </c>
      <c r="B78" s="1" t="s">
        <v>71</v>
      </c>
      <c r="C78" s="8">
        <f>D78*$C$77</f>
        <v>0.52597666666666665</v>
      </c>
      <c r="D78" s="16">
        <v>0.08</v>
      </c>
    </row>
    <row r="79" spans="1:5" x14ac:dyDescent="0.25">
      <c r="A79" s="5" t="s">
        <v>10</v>
      </c>
      <c r="B79" s="1" t="s">
        <v>70</v>
      </c>
      <c r="C79" s="8">
        <f>$D$79*$C$77</f>
        <v>0.28599981250000001</v>
      </c>
      <c r="D79" s="25">
        <f>0.08*0.5*0.9*(1+(5/56)+(5/56)+((1/3)*(5/56)))</f>
        <v>4.3499999999999997E-2</v>
      </c>
    </row>
    <row r="80" spans="1:5" x14ac:dyDescent="0.25">
      <c r="A80" s="5" t="s">
        <v>11</v>
      </c>
      <c r="B80" s="1" t="s">
        <v>72</v>
      </c>
      <c r="C80" s="8">
        <f>$D$80*$C$18</f>
        <v>0.61363944444444452</v>
      </c>
      <c r="D80" s="16">
        <f>((7/30)/12)*0.02</f>
        <v>3.8888888888888892E-4</v>
      </c>
    </row>
    <row r="81" spans="1:4" x14ac:dyDescent="0.25">
      <c r="A81" s="5" t="s">
        <v>12</v>
      </c>
      <c r="B81" s="1" t="s">
        <v>74</v>
      </c>
      <c r="C81" s="8">
        <f>$D$81*$C$80</f>
        <v>0.13581886370370372</v>
      </c>
      <c r="D81" s="16">
        <f>$D$50</f>
        <v>0.22133333333333335</v>
      </c>
    </row>
    <row r="82" spans="1:4" x14ac:dyDescent="0.25">
      <c r="A82" s="5" t="s">
        <v>13</v>
      </c>
      <c r="B82" s="1" t="s">
        <v>75</v>
      </c>
      <c r="C82" s="8">
        <f>$C$80*$D$82</f>
        <v>2.4545577777777782E-2</v>
      </c>
      <c r="D82" s="25">
        <f>0.08*0.5</f>
        <v>0.04</v>
      </c>
    </row>
    <row r="83" spans="1:4" x14ac:dyDescent="0.25">
      <c r="A83" s="66" t="s">
        <v>25</v>
      </c>
      <c r="B83" s="66"/>
      <c r="C83" s="20">
        <f>SUM(C77:C82)</f>
        <v>8.1606886984259273</v>
      </c>
    </row>
    <row r="84" spans="1:4" ht="15" customHeight="1" x14ac:dyDescent="0.25">
      <c r="A84" s="60" t="s">
        <v>68</v>
      </c>
      <c r="B84" s="61"/>
      <c r="C84" s="62"/>
      <c r="D84" s="17"/>
    </row>
    <row r="85" spans="1:4" x14ac:dyDescent="0.25">
      <c r="A85" s="63"/>
      <c r="B85" s="64"/>
      <c r="C85" s="65"/>
      <c r="D85" s="17"/>
    </row>
    <row r="86" spans="1:4" x14ac:dyDescent="0.25">
      <c r="A86" s="52" t="s">
        <v>69</v>
      </c>
      <c r="B86" s="53"/>
      <c r="C86" s="54"/>
    </row>
    <row r="87" spans="1:4" x14ac:dyDescent="0.25">
      <c r="A87" s="52"/>
      <c r="B87" s="53"/>
      <c r="C87" s="54"/>
    </row>
    <row r="88" spans="1:4" ht="15" customHeight="1" x14ac:dyDescent="0.25">
      <c r="A88" s="52" t="s">
        <v>76</v>
      </c>
      <c r="B88" s="53"/>
      <c r="C88" s="54"/>
    </row>
    <row r="89" spans="1:4" x14ac:dyDescent="0.25">
      <c r="A89" s="52"/>
      <c r="B89" s="53"/>
      <c r="C89" s="54"/>
    </row>
    <row r="90" spans="1:4" x14ac:dyDescent="0.25">
      <c r="A90" s="55"/>
      <c r="B90" s="56"/>
      <c r="C90" s="57"/>
    </row>
    <row r="92" spans="1:4" x14ac:dyDescent="0.25">
      <c r="A92" s="19" t="s">
        <v>56</v>
      </c>
      <c r="B92" s="19" t="s">
        <v>89</v>
      </c>
      <c r="C92" s="19" t="s">
        <v>7</v>
      </c>
      <c r="D92" s="19" t="s">
        <v>23</v>
      </c>
    </row>
    <row r="93" spans="1:4" x14ac:dyDescent="0.25">
      <c r="A93" s="5" t="s">
        <v>8</v>
      </c>
      <c r="B93" s="1" t="s">
        <v>77</v>
      </c>
      <c r="C93" s="8">
        <f>$C$18*D93</f>
        <v>140.88660714285714</v>
      </c>
      <c r="D93" s="25">
        <f>(5/56)</f>
        <v>8.9285714285714288E-2</v>
      </c>
    </row>
    <row r="94" spans="1:4" x14ac:dyDescent="0.25">
      <c r="A94" s="5" t="s">
        <v>9</v>
      </c>
      <c r="B94" s="1" t="s">
        <v>80</v>
      </c>
      <c r="C94" s="8">
        <f t="shared" ref="C94:C98" si="1">$C$18*D94</f>
        <v>26.123507777777778</v>
      </c>
      <c r="D94" s="25">
        <f>(5.96/30)/12</f>
        <v>1.6555555555555556E-2</v>
      </c>
    </row>
    <row r="95" spans="1:4" x14ac:dyDescent="0.25">
      <c r="A95" s="5" t="s">
        <v>10</v>
      </c>
      <c r="B95" s="1" t="s">
        <v>82</v>
      </c>
      <c r="C95" s="8">
        <f t="shared" si="1"/>
        <v>0.32873541666666667</v>
      </c>
      <c r="D95" s="25">
        <f>((5/30)/12)*0.015</f>
        <v>2.0833333333333332E-4</v>
      </c>
    </row>
    <row r="96" spans="1:4" ht="17.25" x14ac:dyDescent="0.25">
      <c r="A96" s="5" t="s">
        <v>11</v>
      </c>
      <c r="B96" s="1" t="s">
        <v>84</v>
      </c>
      <c r="C96" s="8">
        <f t="shared" si="1"/>
        <v>4.3831388888888894</v>
      </c>
      <c r="D96" s="25">
        <f>(1/30)/12</f>
        <v>2.7777777777777779E-3</v>
      </c>
    </row>
    <row r="97" spans="1:6" ht="17.25" x14ac:dyDescent="0.25">
      <c r="A97" s="5" t="s">
        <v>12</v>
      </c>
      <c r="B97" s="1" t="s">
        <v>86</v>
      </c>
      <c r="C97" s="8">
        <f t="shared" si="1"/>
        <v>0.51282724999999996</v>
      </c>
      <c r="D97" s="25">
        <f>((15/30)/12)*0.0078</f>
        <v>3.2499999999999999E-4</v>
      </c>
    </row>
    <row r="98" spans="1:6" ht="17.25" x14ac:dyDescent="0.25">
      <c r="A98" s="5" t="s">
        <v>13</v>
      </c>
      <c r="B98" s="1" t="s">
        <v>87</v>
      </c>
      <c r="C98" s="8">
        <f t="shared" si="1"/>
        <v>4.3831388888888894</v>
      </c>
      <c r="D98" s="25">
        <f>(1/30)/12</f>
        <v>2.7777777777777779E-3</v>
      </c>
    </row>
    <row r="99" spans="1:6" x14ac:dyDescent="0.25">
      <c r="A99" s="79" t="s">
        <v>58</v>
      </c>
      <c r="B99" s="79"/>
      <c r="C99" s="21">
        <f>SUM(C93:C98)</f>
        <v>176.61795536507933</v>
      </c>
      <c r="D99" s="25"/>
    </row>
    <row r="100" spans="1:6" x14ac:dyDescent="0.25">
      <c r="A100" s="5" t="s">
        <v>14</v>
      </c>
      <c r="B100" s="18" t="s">
        <v>63</v>
      </c>
      <c r="C100" s="8">
        <f>$C$99*$D$100</f>
        <v>39.091440787470894</v>
      </c>
      <c r="D100" s="25">
        <f>$D$50</f>
        <v>0.22133333333333335</v>
      </c>
    </row>
    <row r="101" spans="1:6" x14ac:dyDescent="0.25">
      <c r="A101" s="66" t="s">
        <v>25</v>
      </c>
      <c r="B101" s="66"/>
      <c r="C101" s="30">
        <f>SUM(C99:C100)</f>
        <v>215.70939615255023</v>
      </c>
    </row>
    <row r="102" spans="1:6" x14ac:dyDescent="0.25">
      <c r="A102" s="86" t="s">
        <v>78</v>
      </c>
      <c r="B102" s="87"/>
      <c r="C102" s="88"/>
    </row>
    <row r="103" spans="1:6" x14ac:dyDescent="0.25">
      <c r="A103" s="52"/>
      <c r="B103" s="53"/>
      <c r="C103" s="54"/>
    </row>
    <row r="104" spans="1:6" ht="15" customHeight="1" x14ac:dyDescent="0.25">
      <c r="A104" s="52" t="s">
        <v>79</v>
      </c>
      <c r="B104" s="53"/>
      <c r="C104" s="54"/>
      <c r="D104" s="26"/>
    </row>
    <row r="105" spans="1:6" x14ac:dyDescent="0.25">
      <c r="A105" s="52"/>
      <c r="B105" s="53"/>
      <c r="C105" s="54"/>
      <c r="D105" s="26"/>
    </row>
    <row r="106" spans="1:6" x14ac:dyDescent="0.25">
      <c r="A106" s="52"/>
      <c r="B106" s="53"/>
      <c r="C106" s="54"/>
      <c r="D106" s="26"/>
    </row>
    <row r="107" spans="1:6" ht="15" customHeight="1" x14ac:dyDescent="0.25">
      <c r="A107" s="63" t="s">
        <v>81</v>
      </c>
      <c r="B107" s="64"/>
      <c r="C107" s="65"/>
      <c r="D107" s="17"/>
    </row>
    <row r="108" spans="1:6" x14ac:dyDescent="0.25">
      <c r="A108" s="63"/>
      <c r="B108" s="64"/>
      <c r="C108" s="65"/>
      <c r="D108" s="17"/>
    </row>
    <row r="109" spans="1:6" x14ac:dyDescent="0.25">
      <c r="A109" s="63"/>
      <c r="B109" s="64"/>
      <c r="C109" s="65"/>
      <c r="D109" s="17"/>
    </row>
    <row r="110" spans="1:6" x14ac:dyDescent="0.25">
      <c r="A110" s="63"/>
      <c r="B110" s="64"/>
      <c r="C110" s="65"/>
      <c r="D110" s="17"/>
    </row>
    <row r="111" spans="1:6" ht="15" customHeight="1" x14ac:dyDescent="0.25">
      <c r="A111" s="83" t="s">
        <v>83</v>
      </c>
      <c r="B111" s="84"/>
      <c r="C111" s="85"/>
      <c r="D111" s="28"/>
      <c r="E111" s="27"/>
      <c r="F111" s="27"/>
    </row>
    <row r="112" spans="1:6" x14ac:dyDescent="0.25">
      <c r="A112" s="63" t="s">
        <v>85</v>
      </c>
      <c r="B112" s="64"/>
      <c r="C112" s="65"/>
    </row>
    <row r="113" spans="1:4" x14ac:dyDescent="0.25">
      <c r="A113" s="63"/>
      <c r="B113" s="64"/>
      <c r="C113" s="65"/>
    </row>
    <row r="114" spans="1:4" x14ac:dyDescent="0.25">
      <c r="A114" s="63"/>
      <c r="B114" s="64"/>
      <c r="C114" s="65"/>
    </row>
    <row r="115" spans="1:4" x14ac:dyDescent="0.25">
      <c r="A115" s="63"/>
      <c r="B115" s="64"/>
      <c r="C115" s="65"/>
    </row>
    <row r="116" spans="1:4" x14ac:dyDescent="0.25">
      <c r="A116" s="63"/>
      <c r="B116" s="64"/>
      <c r="C116" s="65"/>
    </row>
    <row r="117" spans="1:4" ht="17.25" x14ac:dyDescent="0.25">
      <c r="A117" s="80" t="s">
        <v>88</v>
      </c>
      <c r="B117" s="81"/>
      <c r="C117" s="82"/>
    </row>
    <row r="119" spans="1:4" x14ac:dyDescent="0.25">
      <c r="A119" s="66" t="s">
        <v>99</v>
      </c>
      <c r="B119" s="66"/>
      <c r="C119" s="19" t="s">
        <v>7</v>
      </c>
    </row>
    <row r="120" spans="1:4" x14ac:dyDescent="0.25">
      <c r="A120" s="5" t="s">
        <v>5</v>
      </c>
      <c r="B120" s="1" t="s">
        <v>41</v>
      </c>
      <c r="C120" s="8">
        <f>$C$50</f>
        <v>349.24850666666669</v>
      </c>
    </row>
    <row r="121" spans="1:4" x14ac:dyDescent="0.25">
      <c r="A121" s="5" t="s">
        <v>26</v>
      </c>
      <c r="B121" s="1" t="s">
        <v>57</v>
      </c>
      <c r="C121" s="8">
        <f>$C$63</f>
        <v>229.42601269841268</v>
      </c>
    </row>
    <row r="122" spans="1:4" x14ac:dyDescent="0.25">
      <c r="A122" s="5" t="s">
        <v>35</v>
      </c>
      <c r="B122" s="1" t="s">
        <v>62</v>
      </c>
      <c r="C122" s="8">
        <f>$C$71</f>
        <v>0.92504568320000002</v>
      </c>
    </row>
    <row r="123" spans="1:4" x14ac:dyDescent="0.25">
      <c r="A123" s="5" t="s">
        <v>42</v>
      </c>
      <c r="B123" s="1" t="s">
        <v>66</v>
      </c>
      <c r="C123" s="8">
        <f>$C$83</f>
        <v>8.1606886984259273</v>
      </c>
    </row>
    <row r="124" spans="1:4" x14ac:dyDescent="0.25">
      <c r="A124" s="5" t="s">
        <v>56</v>
      </c>
      <c r="B124" s="1" t="s">
        <v>89</v>
      </c>
      <c r="C124" s="8">
        <f>$C$101</f>
        <v>215.70939615255023</v>
      </c>
    </row>
    <row r="125" spans="1:4" x14ac:dyDescent="0.25">
      <c r="A125" s="66" t="s">
        <v>24</v>
      </c>
      <c r="B125" s="66"/>
      <c r="C125" s="20">
        <f>SUM(C120:C124)</f>
        <v>803.4696498992555</v>
      </c>
    </row>
    <row r="127" spans="1:4" x14ac:dyDescent="0.25">
      <c r="A127" s="59" t="s">
        <v>100</v>
      </c>
      <c r="B127" s="59"/>
      <c r="C127" s="59"/>
      <c r="D127" s="59"/>
    </row>
    <row r="128" spans="1:4" x14ac:dyDescent="0.25">
      <c r="A128" s="59" t="s">
        <v>92</v>
      </c>
      <c r="B128" s="59"/>
      <c r="C128" s="23" t="s">
        <v>7</v>
      </c>
      <c r="D128" s="23" t="s">
        <v>23</v>
      </c>
    </row>
    <row r="129" spans="1:6" x14ac:dyDescent="0.25">
      <c r="A129" s="5" t="s">
        <v>8</v>
      </c>
      <c r="B129" s="1" t="s">
        <v>94</v>
      </c>
      <c r="C129" s="2">
        <f>$C$152*D129</f>
        <v>92.699345496977656</v>
      </c>
      <c r="D129" s="36">
        <v>0.03</v>
      </c>
    </row>
    <row r="130" spans="1:6" x14ac:dyDescent="0.25">
      <c r="A130" s="5" t="s">
        <v>9</v>
      </c>
      <c r="B130" s="1" t="s">
        <v>93</v>
      </c>
      <c r="C130" s="2">
        <f>($C$152+$C$129)*D130</f>
        <v>216.10380420073756</v>
      </c>
      <c r="D130" s="37">
        <v>6.7900000000000002E-2</v>
      </c>
      <c r="F130" s="7"/>
    </row>
    <row r="131" spans="1:6" x14ac:dyDescent="0.25">
      <c r="A131" s="50" t="s">
        <v>58</v>
      </c>
      <c r="B131" s="51"/>
      <c r="C131" s="35">
        <f>C129+C130</f>
        <v>308.80314969771518</v>
      </c>
      <c r="D131" s="41">
        <f>SUM(D129:D130)</f>
        <v>9.7900000000000001E-2</v>
      </c>
    </row>
    <row r="132" spans="1:6" x14ac:dyDescent="0.25">
      <c r="A132" s="5" t="s">
        <v>5</v>
      </c>
      <c r="B132" s="34" t="s">
        <v>101</v>
      </c>
      <c r="C132" s="40">
        <f>($C$152+$C$131)*D132</f>
        <v>84.969533323257608</v>
      </c>
      <c r="D132" s="25">
        <v>2.5000000000000001E-2</v>
      </c>
    </row>
    <row r="133" spans="1:6" x14ac:dyDescent="0.25">
      <c r="A133" s="5" t="s">
        <v>26</v>
      </c>
      <c r="B133" s="34" t="s">
        <v>102</v>
      </c>
      <c r="C133" s="40">
        <f>($C$152+$C$131)*D133</f>
        <v>101.96343998790911</v>
      </c>
      <c r="D133" s="25">
        <v>0.03</v>
      </c>
    </row>
    <row r="134" spans="1:6" x14ac:dyDescent="0.25">
      <c r="A134" s="5" t="s">
        <v>35</v>
      </c>
      <c r="B134" s="34" t="s">
        <v>103</v>
      </c>
      <c r="C134" s="40">
        <f>($C$152+$C$131)*D134</f>
        <v>22.092078664046976</v>
      </c>
      <c r="D134" s="25">
        <v>6.4999999999999997E-3</v>
      </c>
    </row>
    <row r="135" spans="1:6" x14ac:dyDescent="0.25">
      <c r="A135" s="5" t="s">
        <v>42</v>
      </c>
      <c r="B135" s="34" t="s">
        <v>105</v>
      </c>
      <c r="C135" s="40">
        <f>($C$152+$C$131)*D135</f>
        <v>33.987813329303037</v>
      </c>
      <c r="D135" s="25">
        <v>0.01</v>
      </c>
    </row>
    <row r="136" spans="1:6" x14ac:dyDescent="0.25">
      <c r="A136" s="5" t="s">
        <v>56</v>
      </c>
      <c r="B136" s="34" t="s">
        <v>106</v>
      </c>
      <c r="C136" s="40">
        <f>($C$152+$C$131)*D136</f>
        <v>33.987813329303037</v>
      </c>
      <c r="D136" s="25">
        <v>0.01</v>
      </c>
    </row>
    <row r="137" spans="1:6" x14ac:dyDescent="0.25">
      <c r="A137" s="5" t="s">
        <v>10</v>
      </c>
      <c r="B137" s="6" t="s">
        <v>107</v>
      </c>
      <c r="C137" s="35">
        <f>SUM(C132:C136)</f>
        <v>277.0006786338198</v>
      </c>
      <c r="D137" s="41">
        <f>SUM(D132:D136)</f>
        <v>8.1499999999999989E-2</v>
      </c>
    </row>
    <row r="138" spans="1:6" x14ac:dyDescent="0.25">
      <c r="A138" s="58" t="s">
        <v>24</v>
      </c>
      <c r="B138" s="58"/>
      <c r="C138" s="33">
        <f>C131+C137</f>
        <v>585.80382833153499</v>
      </c>
      <c r="D138" s="42">
        <f>D131+D137</f>
        <v>0.1794</v>
      </c>
    </row>
    <row r="139" spans="1:6" x14ac:dyDescent="0.25">
      <c r="A139" s="60" t="s">
        <v>95</v>
      </c>
      <c r="B139" s="61"/>
      <c r="C139" s="62"/>
    </row>
    <row r="140" spans="1:6" x14ac:dyDescent="0.25">
      <c r="A140" s="63"/>
      <c r="B140" s="64"/>
      <c r="C140" s="65"/>
    </row>
    <row r="141" spans="1:6" ht="15" customHeight="1" x14ac:dyDescent="0.25">
      <c r="A141" s="52" t="s">
        <v>104</v>
      </c>
      <c r="B141" s="53"/>
      <c r="C141" s="54"/>
    </row>
    <row r="142" spans="1:6" x14ac:dyDescent="0.25">
      <c r="A142" s="52"/>
      <c r="B142" s="53"/>
      <c r="C142" s="54"/>
    </row>
    <row r="143" spans="1:6" x14ac:dyDescent="0.25">
      <c r="A143" s="52"/>
      <c r="B143" s="53"/>
      <c r="C143" s="54"/>
    </row>
    <row r="144" spans="1:6" x14ac:dyDescent="0.25">
      <c r="A144" s="55"/>
      <c r="B144" s="56"/>
      <c r="C144" s="57"/>
    </row>
    <row r="147" spans="1:3" x14ac:dyDescent="0.25">
      <c r="B147" s="47" t="s">
        <v>108</v>
      </c>
      <c r="C147" s="48"/>
    </row>
    <row r="148" spans="1:3" x14ac:dyDescent="0.25">
      <c r="A148" s="38"/>
      <c r="B148" s="43" t="s">
        <v>109</v>
      </c>
      <c r="C148" s="2">
        <f>$C$18</f>
        <v>1577.93</v>
      </c>
    </row>
    <row r="149" spans="1:3" x14ac:dyDescent="0.25">
      <c r="A149" s="38"/>
      <c r="B149" s="43" t="s">
        <v>110</v>
      </c>
      <c r="C149" s="2">
        <f>$C$28</f>
        <v>687.91186666666658</v>
      </c>
    </row>
    <row r="150" spans="1:3" x14ac:dyDescent="0.25">
      <c r="A150" s="38"/>
      <c r="B150" s="43" t="s">
        <v>111</v>
      </c>
      <c r="C150" s="2">
        <f>$C$37</f>
        <v>20.666666666666668</v>
      </c>
    </row>
    <row r="151" spans="1:3" x14ac:dyDescent="0.25">
      <c r="A151" s="38"/>
      <c r="B151" s="43" t="s">
        <v>112</v>
      </c>
      <c r="C151" s="2">
        <f>$C$125</f>
        <v>803.4696498992555</v>
      </c>
    </row>
    <row r="152" spans="1:3" x14ac:dyDescent="0.25">
      <c r="B152" s="44" t="s">
        <v>114</v>
      </c>
      <c r="C152" s="21">
        <f>SUM(C148:C151)</f>
        <v>3089.9781832325889</v>
      </c>
    </row>
    <row r="153" spans="1:3" x14ac:dyDescent="0.25">
      <c r="B153" s="43" t="s">
        <v>115</v>
      </c>
      <c r="C153" s="8">
        <f>$C$138</f>
        <v>585.80382833153499</v>
      </c>
    </row>
    <row r="154" spans="1:3" x14ac:dyDescent="0.25">
      <c r="B154" s="39" t="s">
        <v>116</v>
      </c>
      <c r="C154" s="45">
        <f>C152+C153</f>
        <v>3675.7820115641239</v>
      </c>
    </row>
  </sheetData>
  <mergeCells count="42">
    <mergeCell ref="A56:C56"/>
    <mergeCell ref="A55:C55"/>
    <mergeCell ref="A61:B61"/>
    <mergeCell ref="A18:B18"/>
    <mergeCell ref="A28:B28"/>
    <mergeCell ref="A37:B37"/>
    <mergeCell ref="A38:C38"/>
    <mergeCell ref="A50:B50"/>
    <mergeCell ref="A51:C51"/>
    <mergeCell ref="A29:C29"/>
    <mergeCell ref="A9:D9"/>
    <mergeCell ref="A31:C31"/>
    <mergeCell ref="A99:B99"/>
    <mergeCell ref="A40:D40"/>
    <mergeCell ref="A119:B119"/>
    <mergeCell ref="A112:C116"/>
    <mergeCell ref="A107:C110"/>
    <mergeCell ref="A104:C106"/>
    <mergeCell ref="A117:C117"/>
    <mergeCell ref="A111:C111"/>
    <mergeCell ref="A101:B101"/>
    <mergeCell ref="A102:C103"/>
    <mergeCell ref="A83:B83"/>
    <mergeCell ref="A84:C85"/>
    <mergeCell ref="A86:C87"/>
    <mergeCell ref="A88:C90"/>
    <mergeCell ref="B147:C147"/>
    <mergeCell ref="A20:F20"/>
    <mergeCell ref="A131:B131"/>
    <mergeCell ref="A141:C144"/>
    <mergeCell ref="A138:B138"/>
    <mergeCell ref="A128:B128"/>
    <mergeCell ref="A139:C140"/>
    <mergeCell ref="A125:B125"/>
    <mergeCell ref="A127:D127"/>
    <mergeCell ref="A63:B63"/>
    <mergeCell ref="A64:C66"/>
    <mergeCell ref="A71:B71"/>
    <mergeCell ref="A72:C74"/>
    <mergeCell ref="A52:C52"/>
    <mergeCell ref="A53:C53"/>
    <mergeCell ref="A54:C54"/>
  </mergeCells>
  <pageMargins left="0.511811024" right="0.511811024" top="0.78740157499999996" bottom="0.78740157499999996" header="0.31496062000000002" footer="0.31496062000000002"/>
  <pageSetup paperSize="9" orientation="portrait" verticalDpi="0" r:id="rId1"/>
  <ignoredErrors>
    <ignoredError sqref="D9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ASG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Graziela Escoto da Luz</dc:creator>
  <cp:lastModifiedBy>priscilla Vaccaro</cp:lastModifiedBy>
  <dcterms:created xsi:type="dcterms:W3CDTF">2019-08-20T12:48:17Z</dcterms:created>
  <dcterms:modified xsi:type="dcterms:W3CDTF">2019-08-23T20:25:16Z</dcterms:modified>
</cp:coreProperties>
</file>